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uhs\Downloads\"/>
    </mc:Choice>
  </mc:AlternateContent>
  <bookViews>
    <workbookView xWindow="0" yWindow="0" windowWidth="25200" windowHeight="12465" activeTab="1"/>
  </bookViews>
  <sheets>
    <sheet name="смета2018" sheetId="13" r:id="rId1"/>
    <sheet name="категории" sheetId="15" r:id="rId2"/>
  </sheets>
  <definedNames>
    <definedName name="_xlnm.Print_Area" localSheetId="0">смета2018!$A$1:$F$61</definedName>
  </definedNames>
  <calcPr calcId="162913" calcOnSave="0"/>
</workbook>
</file>

<file path=xl/calcChain.xml><?xml version="1.0" encoding="utf-8"?>
<calcChain xmlns="http://schemas.openxmlformats.org/spreadsheetml/2006/main">
  <c r="D36" i="13" l="1"/>
  <c r="D28" i="13"/>
  <c r="C28" i="13" s="1"/>
  <c r="D24" i="13"/>
  <c r="C24" i="13"/>
  <c r="D25" i="13"/>
  <c r="C25" i="13" s="1"/>
  <c r="D30" i="13"/>
  <c r="D31" i="13"/>
  <c r="C30" i="13"/>
  <c r="D29" i="13"/>
  <c r="D23" i="13"/>
  <c r="C23" i="13" s="1"/>
  <c r="D27" i="13"/>
  <c r="C27" i="13" s="1"/>
  <c r="D22" i="13"/>
  <c r="C22" i="13" s="1"/>
  <c r="C21" i="13" s="1"/>
  <c r="C20" i="13" s="1"/>
  <c r="C45" i="13"/>
  <c r="F45" i="13" s="1"/>
  <c r="F44" i="13"/>
  <c r="C44" i="13"/>
  <c r="C43" i="13"/>
  <c r="F43" i="13" s="1"/>
  <c r="C12" i="13"/>
  <c r="C36" i="13"/>
  <c r="D32" i="13"/>
  <c r="C32" i="13" s="1"/>
  <c r="C31" i="13"/>
  <c r="C29" i="13"/>
  <c r="D39" i="13"/>
  <c r="C26" i="13"/>
  <c r="C41" i="13"/>
  <c r="F41" i="13" s="1"/>
  <c r="D41" i="13"/>
  <c r="C37" i="13"/>
  <c r="C35" i="13" s="1"/>
  <c r="C38" i="13"/>
  <c r="C40" i="13"/>
  <c r="C39" i="13" s="1"/>
  <c r="F39" i="13" s="1"/>
  <c r="C42" i="13"/>
  <c r="F42" i="13"/>
  <c r="C46" i="13"/>
  <c r="F46" i="13" s="1"/>
  <c r="C52" i="13"/>
  <c r="C50" i="13"/>
  <c r="C56" i="13"/>
  <c r="D55" i="13"/>
  <c r="D54" i="13"/>
  <c r="D53" i="13"/>
  <c r="D51" i="13"/>
  <c r="D56" i="13" s="1"/>
  <c r="D12" i="13" s="1"/>
  <c r="F33" i="13"/>
  <c r="D35" i="13"/>
  <c r="D34" i="13" s="1"/>
  <c r="F20" i="13" l="1"/>
  <c r="C34" i="13"/>
  <c r="C47" i="13" s="1"/>
  <c r="C11" i="13" s="1"/>
  <c r="C18" i="13" s="1"/>
  <c r="F35" i="13"/>
  <c r="F34" i="13" s="1"/>
  <c r="D21" i="13"/>
  <c r="D20" i="13" s="1"/>
  <c r="D57" i="13" s="1"/>
  <c r="C57" i="13" l="1"/>
  <c r="C4" i="15"/>
  <c r="C5" i="15" s="1"/>
  <c r="F47" i="13"/>
  <c r="D47" i="13"/>
  <c r="D11" i="13" s="1"/>
  <c r="D18" i="13" s="1"/>
</calcChain>
</file>

<file path=xl/sharedStrings.xml><?xml version="1.0" encoding="utf-8"?>
<sst xmlns="http://schemas.openxmlformats.org/spreadsheetml/2006/main" count="100" uniqueCount="99">
  <si>
    <t xml:space="preserve">Статьи расхода и прихода ежегодного взноса </t>
  </si>
  <si>
    <t>№№</t>
  </si>
  <si>
    <t>Кол-во пользова-телей (чел.)</t>
  </si>
  <si>
    <t>ИТОГО ПО СМЕТЕ</t>
  </si>
  <si>
    <t>Категории пользователей объектами инфраструктуры</t>
  </si>
  <si>
    <t>Юридические услуги</t>
  </si>
  <si>
    <t>ФОТ</t>
  </si>
  <si>
    <t>Общехозяйственные расходы</t>
  </si>
  <si>
    <t xml:space="preserve">    Электроэнергия</t>
  </si>
  <si>
    <t>Банковские расходы</t>
  </si>
  <si>
    <t>Ежегодные взносы</t>
  </si>
  <si>
    <t>Целевые взносы</t>
  </si>
  <si>
    <t>Расходы за счет целевых поступлений</t>
  </si>
  <si>
    <t>ИТОГО: за счет членских взносов</t>
  </si>
  <si>
    <t>ИТОГО: за счет целевых взносов</t>
  </si>
  <si>
    <t>ПОСТУПЛЕНИЯ</t>
  </si>
  <si>
    <t>ИТОГО ПОСТУПЛЕНИЯ</t>
  </si>
  <si>
    <t>РАСХОДЫ</t>
  </si>
  <si>
    <t>3.1.2</t>
  </si>
  <si>
    <t>3.1.3</t>
  </si>
  <si>
    <t>3.1.4</t>
  </si>
  <si>
    <t>3.1.5</t>
  </si>
  <si>
    <t>3.1.6</t>
  </si>
  <si>
    <t>3.1.1</t>
  </si>
  <si>
    <t>4.1.1</t>
  </si>
  <si>
    <t>4.1.2</t>
  </si>
  <si>
    <t>4.1.3</t>
  </si>
  <si>
    <t>5</t>
  </si>
  <si>
    <t>5.1</t>
  </si>
  <si>
    <t>5.2</t>
  </si>
  <si>
    <t>5.3</t>
  </si>
  <si>
    <t>5.4</t>
  </si>
  <si>
    <t>5.5</t>
  </si>
  <si>
    <t>5.6</t>
  </si>
  <si>
    <t>Утверждено</t>
  </si>
  <si>
    <t xml:space="preserve"> Сумма
в месяц, (руб.)</t>
  </si>
  <si>
    <t xml:space="preserve"> Сумма
в год, (руб.)</t>
  </si>
  <si>
    <t xml:space="preserve">Вступительные или организационные взносы </t>
  </si>
  <si>
    <t>2.5</t>
  </si>
  <si>
    <t>2.6</t>
  </si>
  <si>
    <t>Взносы за подключение к водяным сетям</t>
  </si>
  <si>
    <t>2.7</t>
  </si>
  <si>
    <t>2.8</t>
  </si>
  <si>
    <t>Прочие целевые взносы</t>
  </si>
  <si>
    <t>4.3</t>
  </si>
  <si>
    <t>4.1</t>
  </si>
  <si>
    <t>3.2</t>
  </si>
  <si>
    <t>3.3</t>
  </si>
  <si>
    <t>3.4</t>
  </si>
  <si>
    <t>3.5</t>
  </si>
  <si>
    <t>3.1</t>
  </si>
  <si>
    <t>2.1</t>
  </si>
  <si>
    <t>Поддержка сайта товарищества</t>
  </si>
  <si>
    <t xml:space="preserve">    Налог на использование водных ресурсов и земельного участка</t>
  </si>
  <si>
    <t>Прочие расходы</t>
  </si>
  <si>
    <t>доля пользователя</t>
  </si>
  <si>
    <t>Обслуживание водопроводных сетей</t>
  </si>
  <si>
    <t>Оплата за электроэнергию объектов инфраструктуры</t>
  </si>
  <si>
    <t>Поступление взыскания по судебным исполнительным листам</t>
  </si>
  <si>
    <t>Реконструкция ВЗУ и водяных сетей</t>
  </si>
  <si>
    <t>3.6</t>
  </si>
  <si>
    <t>Взносы за электроэнергию по счетчикам по факту</t>
  </si>
  <si>
    <t xml:space="preserve">  3</t>
  </si>
  <si>
    <t xml:space="preserve">Э/энергия ( вагончик правления, детская и спортивная площадки) </t>
  </si>
  <si>
    <t xml:space="preserve">Уборка территории (покос травы и вывоз мусора) </t>
  </si>
  <si>
    <t xml:space="preserve">Хозяйственные расходы (включая непредвиденные расходы) </t>
  </si>
  <si>
    <t>4.4</t>
  </si>
  <si>
    <t>Земельный налог (детская и спортивная площадки)</t>
  </si>
  <si>
    <t>4.5</t>
  </si>
  <si>
    <t>4.6</t>
  </si>
  <si>
    <t xml:space="preserve">Административные расходы </t>
  </si>
  <si>
    <t xml:space="preserve">    Председатель правления </t>
  </si>
  <si>
    <t xml:space="preserve">    Главный бухгалтер </t>
  </si>
  <si>
    <t xml:space="preserve">    Исполнительный директор </t>
  </si>
  <si>
    <t xml:space="preserve">    Секретарь-делопроизводитель  </t>
  </si>
  <si>
    <t xml:space="preserve">    Электрик </t>
  </si>
  <si>
    <t xml:space="preserve">    Дворник  </t>
  </si>
  <si>
    <t>Начисления на ФОТ</t>
  </si>
  <si>
    <t xml:space="preserve">Компенсация аб. платы за телефоны (1шт.) и интернет </t>
  </si>
  <si>
    <t xml:space="preserve">Компенсация мобильных телефонов (3 шт. председатель правления, бухгалтер, исполнительный директор)  </t>
  </si>
  <si>
    <t xml:space="preserve">Расходы на канцелярские товары  </t>
  </si>
  <si>
    <t xml:space="preserve">Компенсация расхода бензина а/машин </t>
  </si>
  <si>
    <t xml:space="preserve"> на 12 месяцев 2018 года</t>
  </si>
  <si>
    <t>Платежи прошлого периода 2017г. (потребленная э.э по счетчикам за декабрь 2017г., уборка территории)</t>
  </si>
  <si>
    <t>4.7</t>
  </si>
  <si>
    <t>Обслуживание противопожарных сооружений</t>
  </si>
  <si>
    <t>4.8</t>
  </si>
  <si>
    <t>Ремонт асфальтового покрытия</t>
  </si>
  <si>
    <t xml:space="preserve">СУММЫ ЕЖЕГОДНОГО ВЗНОСА за 12 месяцев  2018 года по категориям </t>
  </si>
  <si>
    <t xml:space="preserve"> Доля пользователя за 12 месяцев 2018г. (руб.)</t>
  </si>
  <si>
    <t>Обслуживание дренажных колодцев и дорожных зеркал обзора</t>
  </si>
  <si>
    <t>4.2</t>
  </si>
  <si>
    <t>4.2.1</t>
  </si>
  <si>
    <t>Категория №2   Статьи сметы №: 3,4.2, 4.3, 4.4, 4.5, 4.6, 4.7, 4.8</t>
  </si>
  <si>
    <t>Категория №1 (водопользователи)                                             Статьи сметы №:3,4.1, 4.2, 4.3, 4.4, 4.5, 4.6, 4.7, 4.8</t>
  </si>
  <si>
    <t xml:space="preserve">    Обслуживание скважины </t>
  </si>
  <si>
    <t>общим собранием членов ДНТ "Сосны", проводимом в форме собрания уполномоченных от 31.03.2018г.</t>
  </si>
  <si>
    <t xml:space="preserve"> Приходно–расходная смета ДНТ "Сосны" </t>
  </si>
  <si>
    <t>Банковские рексвизиты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</si>
</sst>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_(* #,##0.00_);_(* \(#,##0.00\);_(* &quot;-&quot;??_);_(@_)"/>
    <numFmt numFmtId="190" formatCode="#,##0.00_р_."/>
  </numFmts>
  <fonts count="16" x14ac:knownFonts="1">
    <font>
      <sz val="10"/>
      <name val="Arial"/>
    </font>
    <font>
      <sz val="10"/>
      <name val="Arial"/>
    </font>
    <font>
      <sz val="8"/>
      <name val="Arial"/>
    </font>
    <font>
      <b/>
      <sz val="8"/>
      <name val="Arial"/>
      <family val="2"/>
      <charset val="204"/>
    </font>
    <font>
      <b/>
      <sz val="12"/>
      <name val="Arial"/>
    </font>
    <font>
      <u/>
      <sz val="10"/>
      <color indexed="12"/>
      <name val="Arial"/>
    </font>
    <font>
      <i/>
      <sz val="8"/>
      <name val="Arial"/>
      <family val="2"/>
      <charset val="204"/>
    </font>
    <font>
      <sz val="14"/>
      <name val="Arial"/>
    </font>
    <font>
      <sz val="18"/>
      <name val="Arial"/>
    </font>
    <font>
      <b/>
      <sz val="12"/>
      <name val="Arial"/>
      <family val="2"/>
      <charset val="204"/>
    </font>
    <font>
      <sz val="20"/>
      <name val="Arial"/>
    </font>
    <font>
      <sz val="8"/>
      <name val="Arial"/>
      <family val="2"/>
      <charset val="204"/>
    </font>
    <font>
      <b/>
      <sz val="11"/>
      <name val="Arial"/>
    </font>
    <font>
      <sz val="11"/>
      <name val="Arial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179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0" fillId="0" borderId="0" xfId="0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2" fontId="7" fillId="0" borderId="1" xfId="0" applyNumberFormat="1" applyFont="1" applyBorder="1" applyAlignment="1">
      <alignment wrapText="1"/>
    </xf>
    <xf numFmtId="2" fontId="0" fillId="0" borderId="0" xfId="0" applyNumberFormat="1" applyAlignment="1">
      <alignment wrapText="1"/>
    </xf>
    <xf numFmtId="2" fontId="0" fillId="0" borderId="0" xfId="0" applyNumberForma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2" xfId="2" applyNumberFormat="1" applyFont="1" applyBorder="1" applyAlignment="1">
      <alignment horizontal="right" vertical="center" wrapText="1"/>
    </xf>
    <xf numFmtId="3" fontId="11" fillId="0" borderId="2" xfId="2" applyNumberFormat="1" applyFont="1" applyBorder="1" applyAlignment="1">
      <alignment horizontal="right" vertical="center" wrapText="1"/>
    </xf>
    <xf numFmtId="3" fontId="3" fillId="0" borderId="1" xfId="2" applyNumberFormat="1" applyFont="1" applyBorder="1" applyAlignment="1">
      <alignment horizontal="right" vertical="center"/>
    </xf>
    <xf numFmtId="3" fontId="2" fillId="0" borderId="1" xfId="2" applyNumberFormat="1" applyFont="1" applyBorder="1" applyAlignment="1">
      <alignment horizontal="right" vertical="center"/>
    </xf>
    <xf numFmtId="3" fontId="6" fillId="0" borderId="1" xfId="2" applyNumberFormat="1" applyFont="1" applyBorder="1" applyAlignment="1">
      <alignment horizontal="right" vertical="center"/>
    </xf>
    <xf numFmtId="3" fontId="11" fillId="0" borderId="1" xfId="2" applyNumberFormat="1" applyFont="1" applyBorder="1" applyAlignment="1">
      <alignment horizontal="right" vertical="center"/>
    </xf>
    <xf numFmtId="3" fontId="6" fillId="0" borderId="2" xfId="2" applyNumberFormat="1" applyFont="1" applyBorder="1" applyAlignment="1">
      <alignment horizontal="right" vertical="center"/>
    </xf>
    <xf numFmtId="3" fontId="6" fillId="0" borderId="2" xfId="2" applyNumberFormat="1" applyFont="1" applyBorder="1" applyAlignment="1">
      <alignment horizontal="right" vertical="center" wrapText="1"/>
    </xf>
    <xf numFmtId="3" fontId="11" fillId="2" borderId="1" xfId="2" applyNumberFormat="1" applyFont="1" applyFill="1" applyBorder="1" applyAlignment="1">
      <alignment horizontal="right" vertical="center"/>
    </xf>
    <xf numFmtId="3" fontId="11" fillId="0" borderId="4" xfId="2" applyNumberFormat="1" applyFont="1" applyBorder="1" applyAlignment="1">
      <alignment horizontal="right" vertical="center"/>
    </xf>
    <xf numFmtId="3" fontId="3" fillId="2" borderId="1" xfId="2" applyNumberFormat="1" applyFont="1" applyFill="1" applyBorder="1" applyAlignment="1">
      <alignment horizontal="right" vertical="center"/>
    </xf>
    <xf numFmtId="190" fontId="3" fillId="0" borderId="5" xfId="0" applyNumberFormat="1" applyFont="1" applyBorder="1" applyAlignment="1">
      <alignment horizontal="center" vertical="center" wrapText="1"/>
    </xf>
    <xf numFmtId="0" fontId="13" fillId="0" borderId="0" xfId="0" applyFont="1"/>
    <xf numFmtId="49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3" fontId="11" fillId="0" borderId="5" xfId="2" applyNumberFormat="1" applyFont="1" applyBorder="1" applyAlignment="1">
      <alignment horizontal="right" vertical="center"/>
    </xf>
    <xf numFmtId="3" fontId="3" fillId="0" borderId="6" xfId="2" applyNumberFormat="1" applyFont="1" applyBorder="1" applyAlignment="1">
      <alignment horizontal="right" vertical="center" wrapText="1"/>
    </xf>
    <xf numFmtId="3" fontId="6" fillId="0" borderId="2" xfId="2" applyNumberFormat="1" applyFont="1" applyBorder="1" applyAlignment="1">
      <alignment horizontal="center" vertical="center" wrapText="1"/>
    </xf>
    <xf numFmtId="3" fontId="11" fillId="0" borderId="3" xfId="2" applyNumberFormat="1" applyFont="1" applyBorder="1" applyAlignment="1">
      <alignment horizontal="center" vertical="center"/>
    </xf>
    <xf numFmtId="3" fontId="3" fillId="0" borderId="2" xfId="2" applyNumberFormat="1" applyFont="1" applyBorder="1" applyAlignment="1">
      <alignment horizontal="center" vertical="center" wrapText="1"/>
    </xf>
    <xf numFmtId="3" fontId="11" fillId="0" borderId="2" xfId="2" applyNumberFormat="1" applyFont="1" applyBorder="1" applyAlignment="1">
      <alignment horizontal="center" vertical="center" wrapText="1"/>
    </xf>
    <xf numFmtId="3" fontId="3" fillId="0" borderId="7" xfId="2" applyNumberFormat="1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/>
    </xf>
    <xf numFmtId="3" fontId="6" fillId="0" borderId="2" xfId="2" applyNumberFormat="1" applyFont="1" applyBorder="1" applyAlignment="1">
      <alignment horizontal="center" vertical="center"/>
    </xf>
    <xf numFmtId="3" fontId="11" fillId="0" borderId="1" xfId="2" applyNumberFormat="1" applyFont="1" applyBorder="1" applyAlignment="1">
      <alignment horizontal="center" vertical="center"/>
    </xf>
    <xf numFmtId="3" fontId="11" fillId="2" borderId="1" xfId="2" applyNumberFormat="1" applyFont="1" applyFill="1" applyBorder="1" applyAlignment="1">
      <alignment horizontal="center" vertical="center"/>
    </xf>
    <xf numFmtId="3" fontId="3" fillId="2" borderId="1" xfId="2" applyNumberFormat="1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3" fontId="6" fillId="2" borderId="1" xfId="2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3" fontId="11" fillId="2" borderId="2" xfId="2" applyNumberFormat="1" applyFont="1" applyFill="1" applyBorder="1" applyAlignment="1">
      <alignment horizontal="right" vertical="center" wrapText="1"/>
    </xf>
    <xf numFmtId="3" fontId="3" fillId="2" borderId="2" xfId="2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90" fontId="3" fillId="0" borderId="8" xfId="0" applyNumberFormat="1" applyFont="1" applyBorder="1" applyAlignment="1">
      <alignment horizontal="center" vertical="center" wrapText="1"/>
    </xf>
    <xf numFmtId="190" fontId="3" fillId="0" borderId="9" xfId="0" applyNumberFormat="1" applyFont="1" applyBorder="1" applyAlignment="1">
      <alignment horizontal="center" vertical="center" wrapText="1"/>
    </xf>
    <xf numFmtId="190" fontId="3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1" applyAlignment="1" applyProtection="1">
      <alignment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tsosni.ru/normativnye-i-ustavnye-dokumentyenty/47-bankovskie-rekviz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view="pageBreakPreview" zoomScaleNormal="100" zoomScaleSheetLayoutView="100" workbookViewId="0">
      <selection activeCell="B23" sqref="B23"/>
    </sheetView>
  </sheetViews>
  <sheetFormatPr defaultRowHeight="12.75" x14ac:dyDescent="0.2"/>
  <cols>
    <col min="1" max="1" width="7.42578125" customWidth="1"/>
    <col min="2" max="2" width="60.42578125" customWidth="1"/>
    <col min="3" max="5" width="11.5703125" customWidth="1"/>
  </cols>
  <sheetData>
    <row r="1" spans="1:6" ht="15.75" x14ac:dyDescent="0.25">
      <c r="B1" s="12"/>
      <c r="C1" s="78" t="s">
        <v>34</v>
      </c>
      <c r="D1" s="78"/>
      <c r="E1" s="78"/>
      <c r="F1" s="78"/>
    </row>
    <row r="2" spans="1:6" ht="36" customHeight="1" x14ac:dyDescent="0.25">
      <c r="A2" s="12"/>
      <c r="B2" s="12"/>
      <c r="C2" s="78" t="s">
        <v>96</v>
      </c>
      <c r="D2" s="78"/>
      <c r="E2" s="78"/>
      <c r="F2" s="78"/>
    </row>
    <row r="3" spans="1:6" ht="1.5" customHeight="1" x14ac:dyDescent="0.25">
      <c r="A3" s="12"/>
      <c r="B3" s="12"/>
      <c r="C3" s="12"/>
      <c r="D3" s="12"/>
      <c r="E3" s="12"/>
      <c r="F3" s="12"/>
    </row>
    <row r="4" spans="1:6" s="39" customFormat="1" ht="15" x14ac:dyDescent="0.25">
      <c r="A4" s="70" t="s">
        <v>97</v>
      </c>
      <c r="B4" s="70"/>
      <c r="C4" s="70"/>
      <c r="D4" s="70"/>
      <c r="E4" s="70"/>
      <c r="F4" s="70"/>
    </row>
    <row r="5" spans="1:6" s="39" customFormat="1" ht="15" x14ac:dyDescent="0.25">
      <c r="A5" s="71" t="s">
        <v>82</v>
      </c>
      <c r="B5" s="72"/>
      <c r="C5" s="72"/>
      <c r="D5" s="72"/>
      <c r="E5" s="72"/>
      <c r="F5" s="72"/>
    </row>
    <row r="6" spans="1:6" ht="7.5" hidden="1" customHeight="1" x14ac:dyDescent="0.25">
      <c r="A6" s="13"/>
      <c r="B6" s="13"/>
      <c r="C6" s="13"/>
      <c r="D6" s="13"/>
      <c r="E6" s="13"/>
      <c r="F6" s="13"/>
    </row>
    <row r="7" spans="1:6" ht="12.75" customHeight="1" x14ac:dyDescent="0.2">
      <c r="A7" s="65" t="s">
        <v>1</v>
      </c>
      <c r="B7" s="65" t="s">
        <v>0</v>
      </c>
      <c r="C7" s="75" t="s">
        <v>36</v>
      </c>
      <c r="D7" s="75" t="s">
        <v>35</v>
      </c>
      <c r="E7" s="65" t="s">
        <v>2</v>
      </c>
      <c r="F7" s="65" t="s">
        <v>55</v>
      </c>
    </row>
    <row r="8" spans="1:6" x14ac:dyDescent="0.2">
      <c r="A8" s="66"/>
      <c r="B8" s="66"/>
      <c r="C8" s="76"/>
      <c r="D8" s="76"/>
      <c r="E8" s="66"/>
      <c r="F8" s="66"/>
    </row>
    <row r="9" spans="1:6" x14ac:dyDescent="0.2">
      <c r="A9" s="67"/>
      <c r="B9" s="67"/>
      <c r="C9" s="77"/>
      <c r="D9" s="77"/>
      <c r="E9" s="67"/>
      <c r="F9" s="67"/>
    </row>
    <row r="10" spans="1:6" ht="12.75" customHeight="1" x14ac:dyDescent="0.2">
      <c r="A10" s="73" t="s">
        <v>15</v>
      </c>
      <c r="B10" s="74"/>
      <c r="C10" s="38"/>
      <c r="D10" s="38"/>
      <c r="E10" s="24"/>
      <c r="F10" s="24"/>
    </row>
    <row r="11" spans="1:6" x14ac:dyDescent="0.2">
      <c r="A11" s="11">
        <v>1</v>
      </c>
      <c r="B11" s="23" t="s">
        <v>10</v>
      </c>
      <c r="C11" s="27">
        <f>+C47</f>
        <v>2706000</v>
      </c>
      <c r="D11" s="27">
        <f>+D47</f>
        <v>225500</v>
      </c>
      <c r="E11" s="46"/>
      <c r="F11" s="46"/>
    </row>
    <row r="12" spans="1:6" x14ac:dyDescent="0.2">
      <c r="A12" s="11">
        <v>2</v>
      </c>
      <c r="B12" s="23" t="s">
        <v>11</v>
      </c>
      <c r="C12" s="27">
        <f>C13+C14+C15+C16+C17</f>
        <v>795000</v>
      </c>
      <c r="D12" s="27">
        <f>+D56</f>
        <v>66250</v>
      </c>
      <c r="E12" s="46"/>
      <c r="F12" s="46"/>
    </row>
    <row r="13" spans="1:6" x14ac:dyDescent="0.2">
      <c r="A13" s="14" t="s">
        <v>51</v>
      </c>
      <c r="B13" s="19" t="s">
        <v>37</v>
      </c>
      <c r="C13" s="28">
        <v>45000</v>
      </c>
      <c r="D13" s="28"/>
      <c r="E13" s="47"/>
      <c r="F13" s="47"/>
    </row>
    <row r="14" spans="1:6" x14ac:dyDescent="0.2">
      <c r="A14" s="14" t="s">
        <v>38</v>
      </c>
      <c r="B14" s="55" t="s">
        <v>58</v>
      </c>
      <c r="C14" s="28">
        <v>300000</v>
      </c>
      <c r="D14" s="28"/>
      <c r="E14" s="47"/>
      <c r="F14" s="47"/>
    </row>
    <row r="15" spans="1:6" x14ac:dyDescent="0.2">
      <c r="A15" s="14" t="s">
        <v>39</v>
      </c>
      <c r="B15" s="19" t="s">
        <v>40</v>
      </c>
      <c r="C15" s="28">
        <v>150000</v>
      </c>
      <c r="D15" s="28"/>
      <c r="E15" s="47"/>
      <c r="F15" s="47"/>
    </row>
    <row r="16" spans="1:6" x14ac:dyDescent="0.2">
      <c r="A16" s="14" t="s">
        <v>41</v>
      </c>
      <c r="B16" s="19" t="s">
        <v>61</v>
      </c>
      <c r="C16" s="28">
        <v>100000</v>
      </c>
      <c r="D16" s="28"/>
      <c r="E16" s="47"/>
      <c r="F16" s="47"/>
    </row>
    <row r="17" spans="1:6" x14ac:dyDescent="0.2">
      <c r="A17" s="14" t="s">
        <v>42</v>
      </c>
      <c r="B17" s="19" t="s">
        <v>43</v>
      </c>
      <c r="C17" s="28">
        <v>200000</v>
      </c>
      <c r="D17" s="28"/>
      <c r="E17" s="47"/>
      <c r="F17" s="47"/>
    </row>
    <row r="18" spans="1:6" x14ac:dyDescent="0.2">
      <c r="A18" s="11"/>
      <c r="B18" s="23" t="s">
        <v>16</v>
      </c>
      <c r="C18" s="27">
        <f>+C11+C12</f>
        <v>3501000</v>
      </c>
      <c r="D18" s="27">
        <f>+D11+D12</f>
        <v>291750</v>
      </c>
      <c r="E18" s="46"/>
      <c r="F18" s="46"/>
    </row>
    <row r="19" spans="1:6" ht="9" customHeight="1" x14ac:dyDescent="0.2">
      <c r="A19" s="63" t="s">
        <v>17</v>
      </c>
      <c r="B19" s="64"/>
      <c r="C19" s="43"/>
      <c r="D19" s="43"/>
      <c r="E19" s="48"/>
      <c r="F19" s="48"/>
    </row>
    <row r="20" spans="1:6" s="2" customFormat="1" x14ac:dyDescent="0.2">
      <c r="A20" s="14" t="s">
        <v>62</v>
      </c>
      <c r="B20" s="23" t="s">
        <v>70</v>
      </c>
      <c r="C20" s="29">
        <f>+C21+C28+C29+C31+C32</f>
        <v>2010000</v>
      </c>
      <c r="D20" s="29">
        <f>+D21+D28+D29+D31+D32</f>
        <v>167500</v>
      </c>
      <c r="E20" s="49">
        <v>347</v>
      </c>
      <c r="F20" s="49">
        <f>C20/E20</f>
        <v>5792.5072046109508</v>
      </c>
    </row>
    <row r="21" spans="1:6" s="2" customFormat="1" x14ac:dyDescent="0.2">
      <c r="A21" s="14" t="s">
        <v>50</v>
      </c>
      <c r="B21" s="19" t="s">
        <v>6</v>
      </c>
      <c r="C21" s="30">
        <f>+C22+C23+C24+C25+C26+C27</f>
        <v>1476000</v>
      </c>
      <c r="D21" s="30">
        <f>+D22+D23+D24+D25+D26+D27</f>
        <v>123000</v>
      </c>
      <c r="E21" s="49"/>
      <c r="F21" s="49"/>
    </row>
    <row r="22" spans="1:6" s="2" customFormat="1" x14ac:dyDescent="0.2">
      <c r="A22" s="14" t="s">
        <v>23</v>
      </c>
      <c r="B22" s="15" t="s">
        <v>71</v>
      </c>
      <c r="C22" s="31">
        <f t="shared" ref="C22:C32" si="0">D22*12</f>
        <v>384000</v>
      </c>
      <c r="D22" s="31">
        <f>15000+5000+12000</f>
        <v>32000</v>
      </c>
      <c r="E22" s="49"/>
      <c r="F22" s="49"/>
    </row>
    <row r="23" spans="1:6" s="2" customFormat="1" x14ac:dyDescent="0.2">
      <c r="A23" s="14" t="s">
        <v>18</v>
      </c>
      <c r="B23" s="15" t="s">
        <v>73</v>
      </c>
      <c r="C23" s="31">
        <f t="shared" si="0"/>
        <v>384000</v>
      </c>
      <c r="D23" s="31">
        <f>20000+12000</f>
        <v>32000</v>
      </c>
      <c r="E23" s="49"/>
      <c r="F23" s="49"/>
    </row>
    <row r="24" spans="1:6" s="2" customFormat="1" x14ac:dyDescent="0.2">
      <c r="A24" s="14" t="s">
        <v>19</v>
      </c>
      <c r="B24" s="15" t="s">
        <v>72</v>
      </c>
      <c r="C24" s="31">
        <f t="shared" si="0"/>
        <v>264000</v>
      </c>
      <c r="D24" s="31">
        <f>15000+7000</f>
        <v>22000</v>
      </c>
      <c r="E24" s="49"/>
      <c r="F24" s="49"/>
    </row>
    <row r="25" spans="1:6" s="2" customFormat="1" x14ac:dyDescent="0.2">
      <c r="A25" s="14" t="s">
        <v>20</v>
      </c>
      <c r="B25" s="15" t="s">
        <v>75</v>
      </c>
      <c r="C25" s="31">
        <f t="shared" si="0"/>
        <v>204000</v>
      </c>
      <c r="D25" s="31">
        <f>10000+7000</f>
        <v>17000</v>
      </c>
      <c r="E25" s="49"/>
      <c r="F25" s="49"/>
    </row>
    <row r="26" spans="1:6" s="2" customFormat="1" x14ac:dyDescent="0.2">
      <c r="A26" s="14" t="s">
        <v>21</v>
      </c>
      <c r="B26" s="15" t="s">
        <v>74</v>
      </c>
      <c r="C26" s="31">
        <f t="shared" si="0"/>
        <v>60000</v>
      </c>
      <c r="D26" s="31">
        <v>5000</v>
      </c>
      <c r="E26" s="49"/>
      <c r="F26" s="49"/>
    </row>
    <row r="27" spans="1:6" s="2" customFormat="1" x14ac:dyDescent="0.2">
      <c r="A27" s="14" t="s">
        <v>22</v>
      </c>
      <c r="B27" s="15" t="s">
        <v>76</v>
      </c>
      <c r="C27" s="31">
        <f t="shared" si="0"/>
        <v>180000</v>
      </c>
      <c r="D27" s="31">
        <f>20000-5000</f>
        <v>15000</v>
      </c>
      <c r="E27" s="49"/>
      <c r="F27" s="49"/>
    </row>
    <row r="28" spans="1:6" s="2" customFormat="1" x14ac:dyDescent="0.2">
      <c r="A28" s="56" t="s">
        <v>46</v>
      </c>
      <c r="B28" s="57" t="s">
        <v>77</v>
      </c>
      <c r="C28" s="58">
        <f t="shared" si="0"/>
        <v>456000</v>
      </c>
      <c r="D28" s="58">
        <f>19000+9000+10000</f>
        <v>38000</v>
      </c>
      <c r="E28" s="53"/>
      <c r="F28" s="53"/>
    </row>
    <row r="29" spans="1:6" s="2" customFormat="1" ht="12.75" customHeight="1" x14ac:dyDescent="0.2">
      <c r="A29" s="14" t="s">
        <v>47</v>
      </c>
      <c r="B29" s="20" t="s">
        <v>78</v>
      </c>
      <c r="C29" s="31">
        <f t="shared" si="0"/>
        <v>12000</v>
      </c>
      <c r="D29" s="32">
        <f>1000</f>
        <v>1000</v>
      </c>
      <c r="E29" s="49"/>
      <c r="F29" s="49"/>
    </row>
    <row r="30" spans="1:6" s="2" customFormat="1" ht="22.5" customHeight="1" x14ac:dyDescent="0.2">
      <c r="A30" s="14" t="s">
        <v>48</v>
      </c>
      <c r="B30" s="20" t="s">
        <v>79</v>
      </c>
      <c r="C30" s="31">
        <f t="shared" si="0"/>
        <v>30000</v>
      </c>
      <c r="D30" s="32">
        <f>3000-500</f>
        <v>2500</v>
      </c>
      <c r="E30" s="49"/>
      <c r="F30" s="49"/>
    </row>
    <row r="31" spans="1:6" s="2" customFormat="1" x14ac:dyDescent="0.2">
      <c r="A31" s="14" t="s">
        <v>49</v>
      </c>
      <c r="B31" s="21" t="s">
        <v>81</v>
      </c>
      <c r="C31" s="31">
        <f t="shared" si="0"/>
        <v>48000</v>
      </c>
      <c r="D31" s="32">
        <f>5000-1000</f>
        <v>4000</v>
      </c>
      <c r="E31" s="49"/>
      <c r="F31" s="49"/>
    </row>
    <row r="32" spans="1:6" s="2" customFormat="1" x14ac:dyDescent="0.2">
      <c r="A32" s="14" t="s">
        <v>60</v>
      </c>
      <c r="B32" s="22" t="s">
        <v>80</v>
      </c>
      <c r="C32" s="31">
        <f t="shared" si="0"/>
        <v>18000</v>
      </c>
      <c r="D32" s="32">
        <f>1500</f>
        <v>1500</v>
      </c>
      <c r="E32" s="49"/>
      <c r="F32" s="49"/>
    </row>
    <row r="33" spans="1:6" s="2" customFormat="1" ht="5.25" hidden="1" customHeight="1" x14ac:dyDescent="0.2">
      <c r="A33" s="14"/>
      <c r="B33" s="17"/>
      <c r="C33" s="33"/>
      <c r="D33" s="33"/>
      <c r="E33" s="50"/>
      <c r="F33" s="49" t="e">
        <f>C33/E33</f>
        <v>#DIV/0!</v>
      </c>
    </row>
    <row r="34" spans="1:6" x14ac:dyDescent="0.2">
      <c r="A34" s="14">
        <v>4</v>
      </c>
      <c r="B34" s="25" t="s">
        <v>7</v>
      </c>
      <c r="C34" s="27">
        <f>+C35+C39+C42+C46</f>
        <v>696000</v>
      </c>
      <c r="D34" s="27">
        <f>+D35+D39+D42+D46</f>
        <v>58000</v>
      </c>
      <c r="E34" s="49"/>
      <c r="F34" s="49">
        <f>F35+F39+F41+F42+F46+F43+F44+F45</f>
        <v>7690.1552991821436</v>
      </c>
    </row>
    <row r="35" spans="1:6" x14ac:dyDescent="0.2">
      <c r="A35" s="56" t="s">
        <v>45</v>
      </c>
      <c r="B35" s="59" t="s">
        <v>56</v>
      </c>
      <c r="C35" s="60">
        <f>SUM(C36:C38)</f>
        <v>612000</v>
      </c>
      <c r="D35" s="60">
        <f>SUM(D36:D38)</f>
        <v>51000</v>
      </c>
      <c r="E35" s="61">
        <v>89</v>
      </c>
      <c r="F35" s="52">
        <f>C35/E35</f>
        <v>6876.4044943820227</v>
      </c>
    </row>
    <row r="36" spans="1:6" x14ac:dyDescent="0.2">
      <c r="A36" s="14" t="s">
        <v>24</v>
      </c>
      <c r="B36" s="16" t="s">
        <v>95</v>
      </c>
      <c r="C36" s="34">
        <f>D36*12</f>
        <v>468000</v>
      </c>
      <c r="D36" s="34">
        <f>3000+8000+8000+8000+8000+1500+1500+1000</f>
        <v>39000</v>
      </c>
      <c r="E36" s="44"/>
      <c r="F36" s="51"/>
    </row>
    <row r="37" spans="1:6" x14ac:dyDescent="0.2">
      <c r="A37" s="14" t="s">
        <v>25</v>
      </c>
      <c r="B37" s="16" t="s">
        <v>53</v>
      </c>
      <c r="C37" s="34">
        <f>D37*12</f>
        <v>84000</v>
      </c>
      <c r="D37" s="34">
        <v>7000</v>
      </c>
      <c r="E37" s="44"/>
      <c r="F37" s="51"/>
    </row>
    <row r="38" spans="1:6" x14ac:dyDescent="0.2">
      <c r="A38" s="14" t="s">
        <v>26</v>
      </c>
      <c r="B38" s="16" t="s">
        <v>8</v>
      </c>
      <c r="C38" s="34">
        <f>D38*12</f>
        <v>60000</v>
      </c>
      <c r="D38" s="34">
        <v>5000</v>
      </c>
      <c r="E38" s="44"/>
      <c r="F38" s="51"/>
    </row>
    <row r="39" spans="1:6" x14ac:dyDescent="0.2">
      <c r="A39" s="56" t="s">
        <v>91</v>
      </c>
      <c r="B39" s="57" t="s">
        <v>57</v>
      </c>
      <c r="C39" s="60">
        <f>+C40</f>
        <v>60000</v>
      </c>
      <c r="D39" s="60">
        <f>D40</f>
        <v>5000</v>
      </c>
      <c r="E39" s="61">
        <v>342</v>
      </c>
      <c r="F39" s="52">
        <f>C39/E39</f>
        <v>175.43859649122808</v>
      </c>
    </row>
    <row r="40" spans="1:6" x14ac:dyDescent="0.2">
      <c r="A40" s="14" t="s">
        <v>92</v>
      </c>
      <c r="B40" s="18" t="s">
        <v>63</v>
      </c>
      <c r="C40" s="34">
        <f>D40*12</f>
        <v>60000</v>
      </c>
      <c r="D40" s="34">
        <v>5000</v>
      </c>
      <c r="E40" s="44"/>
      <c r="F40" s="51"/>
    </row>
    <row r="41" spans="1:6" x14ac:dyDescent="0.2">
      <c r="A41" s="14" t="s">
        <v>44</v>
      </c>
      <c r="B41" s="1" t="s">
        <v>67</v>
      </c>
      <c r="C41" s="32">
        <f>17110+17110</f>
        <v>34220</v>
      </c>
      <c r="D41" s="32">
        <f>C41/12</f>
        <v>2851.6666666666665</v>
      </c>
      <c r="E41" s="49">
        <v>347</v>
      </c>
      <c r="F41" s="51">
        <f t="shared" ref="F41:F46" si="1">C41/E41</f>
        <v>98.616714697406337</v>
      </c>
    </row>
    <row r="42" spans="1:6" x14ac:dyDescent="0.2">
      <c r="A42" s="56" t="s">
        <v>66</v>
      </c>
      <c r="B42" s="59" t="s">
        <v>64</v>
      </c>
      <c r="C42" s="60">
        <f>D42*12</f>
        <v>12000</v>
      </c>
      <c r="D42" s="60">
        <v>1000</v>
      </c>
      <c r="E42" s="61">
        <v>339</v>
      </c>
      <c r="F42" s="52">
        <f t="shared" si="1"/>
        <v>35.398230088495573</v>
      </c>
    </row>
    <row r="43" spans="1:6" x14ac:dyDescent="0.2">
      <c r="A43" s="56" t="s">
        <v>68</v>
      </c>
      <c r="B43" s="59" t="s">
        <v>90</v>
      </c>
      <c r="C43" s="60">
        <f>D43*12</f>
        <v>30000</v>
      </c>
      <c r="D43" s="60">
        <v>2500</v>
      </c>
      <c r="E43" s="61">
        <v>339</v>
      </c>
      <c r="F43" s="52">
        <f t="shared" si="1"/>
        <v>88.495575221238937</v>
      </c>
    </row>
    <row r="44" spans="1:6" x14ac:dyDescent="0.2">
      <c r="A44" s="56" t="s">
        <v>69</v>
      </c>
      <c r="B44" s="59" t="s">
        <v>85</v>
      </c>
      <c r="C44" s="60">
        <f>D44*12</f>
        <v>12000</v>
      </c>
      <c r="D44" s="60">
        <v>1000</v>
      </c>
      <c r="E44" s="61">
        <v>339</v>
      </c>
      <c r="F44" s="52">
        <f t="shared" si="1"/>
        <v>35.398230088495573</v>
      </c>
    </row>
    <row r="45" spans="1:6" x14ac:dyDescent="0.2">
      <c r="A45" s="56" t="s">
        <v>84</v>
      </c>
      <c r="B45" s="59" t="s">
        <v>87</v>
      </c>
      <c r="C45" s="60">
        <f>D45*12</f>
        <v>120000</v>
      </c>
      <c r="D45" s="60">
        <v>10000</v>
      </c>
      <c r="E45" s="49">
        <v>347</v>
      </c>
      <c r="F45" s="51">
        <f t="shared" si="1"/>
        <v>345.82132564841498</v>
      </c>
    </row>
    <row r="46" spans="1:6" s="2" customFormat="1" x14ac:dyDescent="0.2">
      <c r="A46" s="14" t="s">
        <v>86</v>
      </c>
      <c r="B46" s="1" t="s">
        <v>65</v>
      </c>
      <c r="C46" s="32">
        <f>D46*12</f>
        <v>12000</v>
      </c>
      <c r="D46" s="32">
        <v>1000</v>
      </c>
      <c r="E46" s="49">
        <v>347</v>
      </c>
      <c r="F46" s="51">
        <f t="shared" si="1"/>
        <v>34.582132564841501</v>
      </c>
    </row>
    <row r="47" spans="1:6" s="2" customFormat="1" ht="13.5" customHeight="1" x14ac:dyDescent="0.2">
      <c r="A47" s="26"/>
      <c r="B47" s="25" t="s">
        <v>13</v>
      </c>
      <c r="C47" s="29">
        <f>+C34+C20</f>
        <v>2706000</v>
      </c>
      <c r="D47" s="29">
        <f>+D34+D20</f>
        <v>225500</v>
      </c>
      <c r="E47" s="49"/>
      <c r="F47" s="49">
        <f>F20+F34</f>
        <v>13482.662503793093</v>
      </c>
    </row>
    <row r="48" spans="1:6" s="2" customFormat="1" ht="1.5" hidden="1" customHeight="1" x14ac:dyDescent="0.2">
      <c r="A48" s="40"/>
      <c r="B48" s="41"/>
      <c r="C48" s="42"/>
      <c r="D48" s="42"/>
      <c r="E48" s="42"/>
      <c r="F48" s="45"/>
    </row>
    <row r="49" spans="1:6" s="2" customFormat="1" ht="14.25" customHeight="1" x14ac:dyDescent="0.2">
      <c r="A49" s="14" t="s">
        <v>27</v>
      </c>
      <c r="B49" s="23" t="s">
        <v>12</v>
      </c>
      <c r="C49" s="32"/>
      <c r="D49" s="32"/>
      <c r="E49" s="32"/>
      <c r="F49" s="51"/>
    </row>
    <row r="50" spans="1:6" s="2" customFormat="1" ht="14.25" customHeight="1" x14ac:dyDescent="0.2">
      <c r="A50" s="14" t="s">
        <v>28</v>
      </c>
      <c r="B50" s="1" t="s">
        <v>9</v>
      </c>
      <c r="C50" s="35">
        <f>D50*12</f>
        <v>72000</v>
      </c>
      <c r="D50" s="35">
        <v>6000</v>
      </c>
      <c r="E50" s="35"/>
      <c r="F50" s="52"/>
    </row>
    <row r="51" spans="1:6" s="2" customFormat="1" x14ac:dyDescent="0.2">
      <c r="A51" s="14" t="s">
        <v>29</v>
      </c>
      <c r="B51" s="1" t="s">
        <v>5</v>
      </c>
      <c r="C51" s="36">
        <v>200000</v>
      </c>
      <c r="D51" s="36">
        <f>+C51/12</f>
        <v>16666.666666666668</v>
      </c>
      <c r="E51" s="36"/>
      <c r="F51" s="52"/>
    </row>
    <row r="52" spans="1:6" s="2" customFormat="1" x14ac:dyDescent="0.2">
      <c r="A52" s="14" t="s">
        <v>30</v>
      </c>
      <c r="B52" s="1" t="s">
        <v>52</v>
      </c>
      <c r="C52" s="36">
        <f>D52*12</f>
        <v>7200</v>
      </c>
      <c r="D52" s="36">
        <v>600</v>
      </c>
      <c r="E52" s="36"/>
      <c r="F52" s="52"/>
    </row>
    <row r="53" spans="1:6" s="2" customFormat="1" ht="22.5" x14ac:dyDescent="0.2">
      <c r="A53" s="14" t="s">
        <v>31</v>
      </c>
      <c r="B53" s="1" t="s">
        <v>83</v>
      </c>
      <c r="C53" s="36">
        <v>57000</v>
      </c>
      <c r="D53" s="36">
        <f>+C53/12</f>
        <v>4750</v>
      </c>
      <c r="E53" s="36"/>
      <c r="F53" s="52"/>
    </row>
    <row r="54" spans="1:6" s="2" customFormat="1" x14ac:dyDescent="0.2">
      <c r="A54" s="14" t="s">
        <v>32</v>
      </c>
      <c r="B54" s="1" t="s">
        <v>59</v>
      </c>
      <c r="C54" s="35">
        <v>100000</v>
      </c>
      <c r="D54" s="35">
        <f>+C54/12</f>
        <v>8333.3333333333339</v>
      </c>
      <c r="E54" s="35"/>
      <c r="F54" s="52"/>
    </row>
    <row r="55" spans="1:6" s="2" customFormat="1" ht="11.25" customHeight="1" x14ac:dyDescent="0.2">
      <c r="A55" s="14" t="s">
        <v>33</v>
      </c>
      <c r="B55" s="1" t="s">
        <v>54</v>
      </c>
      <c r="C55" s="35">
        <v>358800</v>
      </c>
      <c r="D55" s="35">
        <f>+C55/12</f>
        <v>29900</v>
      </c>
      <c r="E55" s="35"/>
      <c r="F55" s="52"/>
    </row>
    <row r="56" spans="1:6" s="2" customFormat="1" ht="9" customHeight="1" x14ac:dyDescent="0.2">
      <c r="A56" s="14"/>
      <c r="B56" s="3" t="s">
        <v>14</v>
      </c>
      <c r="C56" s="37">
        <f>SUM(C50:C55)</f>
        <v>795000</v>
      </c>
      <c r="D56" s="37">
        <f>SUM(D50:D55)</f>
        <v>66250</v>
      </c>
      <c r="E56" s="37"/>
      <c r="F56" s="53"/>
    </row>
    <row r="57" spans="1:6" x14ac:dyDescent="0.2">
      <c r="A57" s="68" t="s">
        <v>3</v>
      </c>
      <c r="B57" s="69"/>
      <c r="C57" s="37">
        <f>+C20+C34+C56</f>
        <v>3501000</v>
      </c>
      <c r="D57" s="37">
        <f>+D20+D34+D56</f>
        <v>291750</v>
      </c>
      <c r="E57" s="37"/>
      <c r="F57" s="53"/>
    </row>
  </sheetData>
  <mergeCells count="13">
    <mergeCell ref="E7:E9"/>
    <mergeCell ref="C1:F1"/>
    <mergeCell ref="C2:F2"/>
    <mergeCell ref="A19:B19"/>
    <mergeCell ref="A7:A9"/>
    <mergeCell ref="A57:B57"/>
    <mergeCell ref="A4:F4"/>
    <mergeCell ref="A5:F5"/>
    <mergeCell ref="F7:F9"/>
    <mergeCell ref="A10:B10"/>
    <mergeCell ref="B7:B9"/>
    <mergeCell ref="C7:C9"/>
    <mergeCell ref="D7:D9"/>
  </mergeCells>
  <phoneticPr fontId="2" type="noConversion"/>
  <pageMargins left="0.62992125984251968" right="0.15748031496062992" top="0.19685039370078741" bottom="7.874015748031496E-2" header="0.51181102362204722" footer="0.51181102362204722"/>
  <pageSetup paperSize="9" scale="86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B7" sqref="B7"/>
    </sheetView>
  </sheetViews>
  <sheetFormatPr defaultRowHeight="12.75" x14ac:dyDescent="0.2"/>
  <cols>
    <col min="1" max="1" width="4.5703125" customWidth="1"/>
    <col min="2" max="2" width="65.7109375" style="5" customWidth="1"/>
    <col min="3" max="3" width="42.140625" style="9" customWidth="1"/>
    <col min="4" max="4" width="14.5703125" customWidth="1"/>
  </cols>
  <sheetData>
    <row r="1" spans="1:5" ht="66.75" customHeight="1" x14ac:dyDescent="0.35">
      <c r="A1" s="79" t="s">
        <v>88</v>
      </c>
      <c r="B1" s="80"/>
      <c r="C1" s="80"/>
    </row>
    <row r="3" spans="1:5" ht="55.5" customHeight="1" x14ac:dyDescent="0.25">
      <c r="A3" s="6" t="s">
        <v>1</v>
      </c>
      <c r="B3" s="7" t="s">
        <v>4</v>
      </c>
      <c r="C3" s="8" t="s">
        <v>89</v>
      </c>
      <c r="D3" s="4"/>
    </row>
    <row r="4" spans="1:5" ht="130.5" customHeight="1" x14ac:dyDescent="0.25">
      <c r="A4" s="6">
        <v>1</v>
      </c>
      <c r="B4" s="62" t="s">
        <v>94</v>
      </c>
      <c r="C4" s="54">
        <f>смета2018!F20+смета2018!F34</f>
        <v>13482.662503793093</v>
      </c>
      <c r="D4" s="10"/>
    </row>
    <row r="5" spans="1:5" ht="125.25" customHeight="1" x14ac:dyDescent="0.25">
      <c r="A5" s="6">
        <v>2</v>
      </c>
      <c r="B5" s="62" t="s">
        <v>93</v>
      </c>
      <c r="C5" s="54">
        <f>C4-смета2018!F35</f>
        <v>6606.2580094110708</v>
      </c>
      <c r="D5" s="10"/>
      <c r="E5" s="2"/>
    </row>
    <row r="7" spans="1:5" x14ac:dyDescent="0.2">
      <c r="B7" s="81" t="s">
        <v>98</v>
      </c>
    </row>
    <row r="9" spans="1:5" x14ac:dyDescent="0.2">
      <c r="C9"/>
    </row>
  </sheetData>
  <mergeCells count="1">
    <mergeCell ref="A1:C1"/>
  </mergeCells>
  <phoneticPr fontId="2" type="noConversion"/>
  <hyperlinks>
    <hyperlink ref="B7" r:id="rId1"/>
  </hyperlinks>
  <pageMargins left="0.19685039370078741" right="0.19685039370078741" top="0.19685039370078741" bottom="0.19685039370078741" header="0.51181102362204722" footer="0.51181102362204722"/>
  <pageSetup paperSize="9" orientation="portrait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смета2018</vt:lpstr>
      <vt:lpstr>категории</vt:lpstr>
      <vt:lpstr>смета2018!Область_печати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Daniel Grudinin</cp:lastModifiedBy>
  <cp:lastPrinted>2018-02-08T12:14:04Z</cp:lastPrinted>
  <dcterms:created xsi:type="dcterms:W3CDTF">1996-10-08T23:32:33Z</dcterms:created>
  <dcterms:modified xsi:type="dcterms:W3CDTF">2018-05-29T21:20:41Z</dcterms:modified>
</cp:coreProperties>
</file>